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7"/>
  <workbookPr defaultThemeVersion="202300"/>
  <mc:AlternateContent xmlns:mc="http://schemas.openxmlformats.org/markup-compatibility/2006">
    <mc:Choice Requires="x15">
      <x15ac:absPath xmlns:x15ac="http://schemas.microsoft.com/office/spreadsheetml/2010/11/ac" url="/Users/janice/Desktop/Banking RFP/FINAL/"/>
    </mc:Choice>
  </mc:AlternateContent>
  <xr:revisionPtr revIDLastSave="0" documentId="13_ncr:1_{6CEE5C07-5888-AF4E-AA41-6B5BFB7CC2DB}" xr6:coauthVersionLast="47" xr6:coauthVersionMax="47" xr10:uidLastSave="{00000000-0000-0000-0000-000000000000}"/>
  <bookViews>
    <workbookView xWindow="38400" yWindow="500" windowWidth="38400" windowHeight="19760" xr2:uid="{00000000-000D-0000-FFFF-FFFF00000000}"/>
  </bookViews>
  <sheets>
    <sheet name="A R Aging Summary" sheetId="2" r:id="rId1"/>
  </sheets>
  <definedNames>
    <definedName name="_xlnm._FilterDatabase" localSheetId="0" hidden="1">'A R Aging Summary'!$A$5:$H$5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2" l="1"/>
  <c r="G13" i="2"/>
  <c r="F24" i="2"/>
  <c r="E24" i="2"/>
  <c r="D24" i="2"/>
  <c r="C24" i="2"/>
  <c r="B24" i="2"/>
  <c r="F11" i="2"/>
  <c r="G11" i="2" s="1"/>
  <c r="F10" i="2"/>
  <c r="G10" i="2" s="1"/>
  <c r="D23" i="2"/>
  <c r="C23" i="2"/>
  <c r="B23" i="2"/>
  <c r="G23" i="2" s="1"/>
  <c r="F9" i="2"/>
  <c r="G9" i="2" s="1"/>
  <c r="F8" i="2"/>
  <c r="G8" i="2" s="1"/>
  <c r="F20" i="2"/>
  <c r="E20" i="2"/>
  <c r="D20" i="2"/>
  <c r="C20" i="2"/>
  <c r="B20" i="2"/>
  <c r="F22" i="2"/>
  <c r="G22" i="2" s="1"/>
  <c r="E18" i="2"/>
  <c r="C18" i="2"/>
  <c r="B18" i="2"/>
  <c r="G18" i="2" s="1"/>
  <c r="D7" i="2"/>
  <c r="C7" i="2"/>
  <c r="B7" i="2"/>
  <c r="G7" i="2" s="1"/>
  <c r="F32" i="2"/>
  <c r="E32" i="2"/>
  <c r="D32" i="2"/>
  <c r="C32" i="2"/>
  <c r="B32" i="2"/>
  <c r="E31" i="2"/>
  <c r="G31" i="2" s="1"/>
  <c r="F30" i="2"/>
  <c r="E30" i="2"/>
  <c r="D30" i="2"/>
  <c r="C30" i="2"/>
  <c r="B30" i="2"/>
  <c r="F29" i="2"/>
  <c r="E29" i="2"/>
  <c r="D29" i="2"/>
  <c r="C29" i="2"/>
  <c r="B29" i="2"/>
  <c r="D16" i="2"/>
  <c r="C16" i="2"/>
  <c r="B16" i="2"/>
  <c r="F15" i="2"/>
  <c r="D15" i="2"/>
  <c r="C15" i="2"/>
  <c r="B15" i="2"/>
  <c r="F33" i="2"/>
  <c r="G33" i="2" s="1"/>
  <c r="D28" i="2"/>
  <c r="C28" i="2"/>
  <c r="B28" i="2"/>
  <c r="F19" i="2"/>
  <c r="G19" i="2" s="1"/>
  <c r="F27" i="2"/>
  <c r="E27" i="2"/>
  <c r="D27" i="2"/>
  <c r="C27" i="2"/>
  <c r="B27" i="2"/>
  <c r="F26" i="2"/>
  <c r="G26" i="2" s="1"/>
  <c r="F14" i="2"/>
  <c r="E14" i="2"/>
  <c r="D14" i="2"/>
  <c r="C14" i="2"/>
  <c r="B14" i="2"/>
  <c r="F17" i="2"/>
  <c r="E17" i="2"/>
  <c r="D17" i="2"/>
  <c r="C17" i="2"/>
  <c r="B17" i="2"/>
  <c r="F25" i="2"/>
  <c r="G25" i="2" s="1"/>
  <c r="F12" i="2"/>
  <c r="G12" i="2" s="1"/>
  <c r="F6" i="2"/>
  <c r="B6" i="2"/>
  <c r="F21" i="2"/>
  <c r="E21" i="2"/>
  <c r="D21" i="2"/>
  <c r="C21" i="2"/>
  <c r="B21" i="2"/>
  <c r="E34" i="2" l="1"/>
  <c r="G20" i="2"/>
  <c r="B34" i="2"/>
  <c r="F34" i="2"/>
  <c r="G32" i="2"/>
  <c r="C34" i="2"/>
  <c r="G28" i="2"/>
  <c r="G16" i="2"/>
  <c r="G30" i="2"/>
  <c r="D34" i="2"/>
  <c r="G15" i="2"/>
  <c r="G24" i="2"/>
  <c r="G14" i="2"/>
  <c r="G29" i="2"/>
  <c r="G27" i="2"/>
  <c r="G21" i="2"/>
  <c r="G17" i="2"/>
  <c r="G6" i="2"/>
  <c r="G34" i="2" l="1"/>
</calcChain>
</file>

<file path=xl/sharedStrings.xml><?xml version="1.0" encoding="utf-8"?>
<sst xmlns="http://schemas.openxmlformats.org/spreadsheetml/2006/main" count="67" uniqueCount="47">
  <si>
    <t>Current</t>
  </si>
  <si>
    <t>1 - 30</t>
  </si>
  <si>
    <t>31 - 60</t>
  </si>
  <si>
    <t>61 - 90</t>
  </si>
  <si>
    <t>91 and over</t>
  </si>
  <si>
    <t>Total</t>
  </si>
  <si>
    <t>Artesian Electric Billing</t>
  </si>
  <si>
    <t>AUDIT AJE</t>
  </si>
  <si>
    <t>Del National Guard</t>
  </si>
  <si>
    <t>DNREC Utility Billing</t>
  </si>
  <si>
    <t>Emory Hill Rental Income</t>
  </si>
  <si>
    <t>FEMA AR</t>
  </si>
  <si>
    <t>Fish &amp; Wildlife / DNREC</t>
  </si>
  <si>
    <t>Ft Delaware Society</t>
  </si>
  <si>
    <t>JRRWA</t>
  </si>
  <si>
    <t>New Castle County - Utility Billing</t>
  </si>
  <si>
    <t>OMB</t>
  </si>
  <si>
    <t>TOTAL</t>
  </si>
  <si>
    <t>Fort DuPont Redevelopment and Preservation Corporation</t>
  </si>
  <si>
    <t>A/R Aging Summary</t>
  </si>
  <si>
    <t>As of November 17, 2024</t>
  </si>
  <si>
    <t>Residential Tenant 1</t>
  </si>
  <si>
    <t>Residential Tenant 2</t>
  </si>
  <si>
    <t>Residential Tenant 3</t>
  </si>
  <si>
    <t>Residential Tenant 4</t>
  </si>
  <si>
    <t>Residential Tenant  11</t>
  </si>
  <si>
    <t>Residential Tenant reimbursments</t>
  </si>
  <si>
    <t>Old Tenant - Past Due</t>
  </si>
  <si>
    <t>Comments</t>
  </si>
  <si>
    <t>Commercial Tenant reimbursments- monthly</t>
  </si>
  <si>
    <t>Commercial Tenant reimbursments- Yearly</t>
  </si>
  <si>
    <t>Residential Tenant  5</t>
  </si>
  <si>
    <t>Residential Tenant  6</t>
  </si>
  <si>
    <t>Residential Tenant  7</t>
  </si>
  <si>
    <t>Residential Tenant  8</t>
  </si>
  <si>
    <t>Residential Tenant  9</t>
  </si>
  <si>
    <t>Residential Tenant  10</t>
  </si>
  <si>
    <t>Residential Tenant  12</t>
  </si>
  <si>
    <t>Residential Tenant  13</t>
  </si>
  <si>
    <t>Residential Tenant  14</t>
  </si>
  <si>
    <t>Residential Tenant  15</t>
  </si>
  <si>
    <t>Residential Tenant  16</t>
  </si>
  <si>
    <t>Residential Tenant  17</t>
  </si>
  <si>
    <t>Events Payment- Cleared in reconciliation</t>
  </si>
  <si>
    <t>Grassdale $2.1 million note) and Commercial lease receivable( DNREC and OMB leases)- GASB 87. 
The receivable (for the rent portion) was posted in full in FY 2022 when GASB was implemented and is in the AR aging under customer "AUDIT AJE". 
The receivable is reduced as rent is received</t>
  </si>
  <si>
    <t>Cleared  as of end of November- paid via Property Manager</t>
  </si>
  <si>
    <t>Canal bank revetement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</si>
</sst>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0\ _€"/>
  </numFmts>
  <fonts count="5" x14ac:knownFonts="1">
    <font>
      <sz val="11"/>
      <color indexed="8"/>
      <name val="Aptos Narrow"/>
      <family val="2"/>
      <scheme val="minor"/>
    </font>
    <font>
      <sz val="11"/>
      <color indexed="8"/>
      <name val="Aptos Narrow"/>
      <family val="2"/>
      <scheme val="minor"/>
    </font>
    <font>
      <b/>
      <sz val="12"/>
      <color indexed="8"/>
      <name val="Times New Roman"/>
      <family val="1"/>
    </font>
    <font>
      <sz val="12"/>
      <color indexed="8"/>
      <name val="Times New Roman"/>
      <family val="1"/>
    </font>
    <font>
      <sz val="8"/>
      <name val="Aptos Narrow"/>
      <family val="2"/>
      <scheme val="minor"/>
    </font>
  </fonts>
  <fills count="3">
    <fill>
      <patternFill patternType="none"/>
    </fill>
    <fill>
      <patternFill patternType="gray125"/>
    </fill>
    <fill>
      <patternFill patternType="solid">
        <fgColor rgb="FFFFFF00"/>
        <bgColor indexed="64"/>
      </patternFill>
    </fill>
  </fills>
  <borders count="3">
    <border>
      <left/>
      <right/>
      <top/>
      <bottom/>
      <diagonal/>
    </border>
    <border>
      <left/>
      <right/>
      <top/>
      <bottom style="thin">
        <color auto="1"/>
      </bottom>
      <diagonal/>
    </border>
    <border>
      <left/>
      <right/>
      <top style="thin">
        <color auto="1"/>
      </top>
      <bottom/>
      <diagonal/>
    </border>
  </borders>
  <cellStyleXfs count="2">
    <xf numFmtId="0" fontId="0" fillId="0" borderId="0"/>
    <xf numFmtId="44" fontId="1" fillId="0" borderId="0" applyFont="0" applyFill="0" applyBorder="0" applyAlignment="0" applyProtection="0"/>
  </cellStyleXfs>
  <cellXfs count="15">
    <xf numFmtId="0" fontId="0" fillId="0" borderId="0" xfId="0"/>
    <xf numFmtId="0" fontId="2" fillId="0" borderId="0" xfId="0" applyFont="1"/>
    <xf numFmtId="0" fontId="3" fillId="0" borderId="0" xfId="0" applyFont="1"/>
    <xf numFmtId="0" fontId="3" fillId="0" borderId="0" xfId="0" applyFont="1" applyAlignment="1">
      <alignment wrapText="1"/>
    </xf>
    <xf numFmtId="0" fontId="2" fillId="0" borderId="1" xfId="0" applyFont="1" applyBorder="1" applyAlignment="1">
      <alignment horizontal="center" wrapText="1"/>
    </xf>
    <xf numFmtId="0" fontId="2" fillId="0" borderId="0" xfId="0" applyFont="1" applyAlignment="1">
      <alignment horizontal="left" wrapText="1"/>
    </xf>
    <xf numFmtId="44" fontId="3" fillId="0" borderId="0" xfId="1" applyFont="1" applyBorder="1" applyAlignment="1">
      <alignment horizontal="right" wrapText="1"/>
    </xf>
    <xf numFmtId="44" fontId="3" fillId="0" borderId="0" xfId="1" applyFont="1" applyBorder="1" applyAlignment="1">
      <alignment wrapText="1"/>
    </xf>
    <xf numFmtId="44" fontId="3" fillId="0" borderId="0" xfId="1" applyFont="1" applyAlignment="1">
      <alignment wrapText="1"/>
    </xf>
    <xf numFmtId="44" fontId="3" fillId="0" borderId="0" xfId="1" applyFont="1" applyAlignment="1">
      <alignment horizontal="right" wrapText="1"/>
    </xf>
    <xf numFmtId="44" fontId="2" fillId="0" borderId="2" xfId="1" applyFont="1" applyBorder="1" applyAlignment="1">
      <alignment horizontal="right" wrapText="1"/>
    </xf>
    <xf numFmtId="164" fontId="3" fillId="0" borderId="0" xfId="0" applyNumberFormat="1" applyFont="1" applyAlignment="1">
      <alignment wrapText="1"/>
    </xf>
    <xf numFmtId="0" fontId="2" fillId="2" borderId="0" xfId="0" applyFont="1" applyFill="1" applyAlignment="1">
      <alignment horizontal="center" wrapText="1"/>
    </xf>
    <xf numFmtId="0" fontId="3" fillId="0" borderId="0" xfId="0" applyFont="1" applyAlignment="1">
      <alignment horizontal="center"/>
    </xf>
    <xf numFmtId="0" fontId="3" fillId="0" borderId="0" xfId="0" applyFont="1"/>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F8BAA-DFD6-413C-97CF-AC9CECACC3D2}">
  <sheetPr>
    <tabColor rgb="FFFF0000"/>
  </sheetPr>
  <dimension ref="A1:H38"/>
  <sheetViews>
    <sheetView tabSelected="1" workbookViewId="0">
      <selection activeCell="A34" sqref="A34"/>
    </sheetView>
  </sheetViews>
  <sheetFormatPr baseColWidth="10" defaultColWidth="8.83203125" defaultRowHeight="16" x14ac:dyDescent="0.2"/>
  <cols>
    <col min="1" max="1" width="44.6640625" style="2" customWidth="1"/>
    <col min="2" max="7" width="13.6640625" style="2" customWidth="1"/>
    <col min="8" max="8" width="50.1640625" style="3" bestFit="1" customWidth="1"/>
    <col min="9" max="16384" width="8.83203125" style="2"/>
  </cols>
  <sheetData>
    <row r="1" spans="1:8" x14ac:dyDescent="0.2">
      <c r="A1" s="1" t="s">
        <v>18</v>
      </c>
    </row>
    <row r="2" spans="1:8" x14ac:dyDescent="0.2">
      <c r="A2" s="1" t="s">
        <v>19</v>
      </c>
    </row>
    <row r="3" spans="1:8" x14ac:dyDescent="0.2">
      <c r="A3" s="1" t="s">
        <v>20</v>
      </c>
    </row>
    <row r="5" spans="1:8" ht="17" x14ac:dyDescent="0.2">
      <c r="A5" s="3"/>
      <c r="B5" s="4" t="s">
        <v>0</v>
      </c>
      <c r="C5" s="4" t="s">
        <v>1</v>
      </c>
      <c r="D5" s="4" t="s">
        <v>2</v>
      </c>
      <c r="E5" s="4" t="s">
        <v>3</v>
      </c>
      <c r="F5" s="4" t="s">
        <v>4</v>
      </c>
      <c r="G5" s="4" t="s">
        <v>5</v>
      </c>
      <c r="H5" s="12" t="s">
        <v>28</v>
      </c>
    </row>
    <row r="6" spans="1:8" ht="17" x14ac:dyDescent="0.2">
      <c r="A6" s="5" t="s">
        <v>6</v>
      </c>
      <c r="B6" s="6">
        <f>222.16</f>
        <v>222.16</v>
      </c>
      <c r="C6" s="7"/>
      <c r="D6" s="7"/>
      <c r="E6" s="7"/>
      <c r="F6" s="8">
        <f>436.23</f>
        <v>436.23</v>
      </c>
      <c r="G6" s="6">
        <f t="shared" ref="G6:G33" si="0">((((B6)+(C6))+(D6))+(E6))+(F6)</f>
        <v>658.39</v>
      </c>
      <c r="H6" s="3" t="s">
        <v>26</v>
      </c>
    </row>
    <row r="7" spans="1:8" ht="17" x14ac:dyDescent="0.2">
      <c r="A7" s="5" t="s">
        <v>15</v>
      </c>
      <c r="B7" s="9">
        <f>90.53</f>
        <v>90.53</v>
      </c>
      <c r="C7" s="9">
        <f>102.18</f>
        <v>102.18</v>
      </c>
      <c r="D7" s="9">
        <f>83.27</f>
        <v>83.27</v>
      </c>
      <c r="E7" s="8"/>
      <c r="F7" s="8"/>
      <c r="G7" s="9">
        <f t="shared" si="0"/>
        <v>275.98</v>
      </c>
      <c r="H7" s="3" t="s">
        <v>26</v>
      </c>
    </row>
    <row r="8" spans="1:8" ht="17" x14ac:dyDescent="0.2">
      <c r="A8" s="5" t="s">
        <v>21</v>
      </c>
      <c r="B8" s="8"/>
      <c r="C8" s="8"/>
      <c r="D8" s="8"/>
      <c r="E8" s="8"/>
      <c r="F8" s="8">
        <f>6668.84</f>
        <v>6668.84</v>
      </c>
      <c r="G8" s="9">
        <f t="shared" si="0"/>
        <v>6668.84</v>
      </c>
      <c r="H8" s="3" t="s">
        <v>27</v>
      </c>
    </row>
    <row r="9" spans="1:8" ht="17" x14ac:dyDescent="0.2">
      <c r="A9" s="5" t="s">
        <v>22</v>
      </c>
      <c r="B9" s="8"/>
      <c r="C9" s="8"/>
      <c r="D9" s="8"/>
      <c r="E9" s="8"/>
      <c r="F9" s="8">
        <f>1498.2</f>
        <v>1498.2</v>
      </c>
      <c r="G9" s="9">
        <f t="shared" si="0"/>
        <v>1498.2</v>
      </c>
      <c r="H9" s="3" t="s">
        <v>27</v>
      </c>
    </row>
    <row r="10" spans="1:8" ht="17" x14ac:dyDescent="0.2">
      <c r="A10" s="5" t="s">
        <v>23</v>
      </c>
      <c r="B10" s="8"/>
      <c r="C10" s="8"/>
      <c r="D10" s="8"/>
      <c r="E10" s="8"/>
      <c r="F10" s="8">
        <f>546</f>
        <v>546</v>
      </c>
      <c r="G10" s="9">
        <f t="shared" si="0"/>
        <v>546</v>
      </c>
      <c r="H10" s="3" t="s">
        <v>27</v>
      </c>
    </row>
    <row r="11" spans="1:8" ht="17" x14ac:dyDescent="0.2">
      <c r="A11" s="5" t="s">
        <v>24</v>
      </c>
      <c r="B11" s="8"/>
      <c r="C11" s="8"/>
      <c r="D11" s="8"/>
      <c r="E11" s="8"/>
      <c r="F11" s="8">
        <f>40</f>
        <v>40</v>
      </c>
      <c r="G11" s="9">
        <f t="shared" si="0"/>
        <v>40</v>
      </c>
      <c r="H11" s="3" t="s">
        <v>27</v>
      </c>
    </row>
    <row r="12" spans="1:8" ht="102" x14ac:dyDescent="0.2">
      <c r="A12" s="5" t="s">
        <v>7</v>
      </c>
      <c r="B12" s="8"/>
      <c r="C12" s="8"/>
      <c r="D12" s="8"/>
      <c r="E12" s="8"/>
      <c r="F12" s="8">
        <f>2207501.12</f>
        <v>2207501.12</v>
      </c>
      <c r="G12" s="9">
        <f t="shared" si="0"/>
        <v>2207501.12</v>
      </c>
      <c r="H12" s="3" t="s">
        <v>44</v>
      </c>
    </row>
    <row r="13" spans="1:8" ht="17" x14ac:dyDescent="0.2">
      <c r="A13" s="5" t="s">
        <v>14</v>
      </c>
      <c r="B13" s="8"/>
      <c r="C13" s="8"/>
      <c r="D13" s="8"/>
      <c r="E13" s="8"/>
      <c r="F13" s="8">
        <f>-150</f>
        <v>-150</v>
      </c>
      <c r="G13" s="9">
        <f t="shared" si="0"/>
        <v>-150</v>
      </c>
      <c r="H13" s="3" t="s">
        <v>43</v>
      </c>
    </row>
    <row r="14" spans="1:8" ht="17" x14ac:dyDescent="0.2">
      <c r="A14" s="5" t="s">
        <v>9</v>
      </c>
      <c r="B14" s="9">
        <f>841.66</f>
        <v>841.66</v>
      </c>
      <c r="C14" s="9">
        <f>1051.57</f>
        <v>1051.57</v>
      </c>
      <c r="D14" s="9">
        <f>1523.96</f>
        <v>1523.96</v>
      </c>
      <c r="E14" s="9">
        <f>1870.66</f>
        <v>1870.66</v>
      </c>
      <c r="F14" s="8">
        <f>2763.39</f>
        <v>2763.39</v>
      </c>
      <c r="G14" s="9">
        <f t="shared" si="0"/>
        <v>8051.24</v>
      </c>
      <c r="H14" s="3" t="s">
        <v>30</v>
      </c>
    </row>
    <row r="15" spans="1:8" ht="17" x14ac:dyDescent="0.2">
      <c r="A15" s="5" t="s">
        <v>12</v>
      </c>
      <c r="B15" s="9">
        <f>160.83</f>
        <v>160.83000000000001</v>
      </c>
      <c r="C15" s="9">
        <f>125.05</f>
        <v>125.05</v>
      </c>
      <c r="D15" s="9">
        <f>184.28</f>
        <v>184.28</v>
      </c>
      <c r="E15" s="8"/>
      <c r="F15" s="8">
        <f>446.49</f>
        <v>446.49</v>
      </c>
      <c r="G15" s="9">
        <f t="shared" si="0"/>
        <v>916.65</v>
      </c>
      <c r="H15" s="3" t="s">
        <v>30</v>
      </c>
    </row>
    <row r="16" spans="1:8" ht="17" x14ac:dyDescent="0.2">
      <c r="A16" s="5" t="s">
        <v>13</v>
      </c>
      <c r="B16" s="9">
        <f>73.08</f>
        <v>73.08</v>
      </c>
      <c r="C16" s="9">
        <f>74.16</f>
        <v>74.16</v>
      </c>
      <c r="D16" s="9">
        <f>79.97</f>
        <v>79.97</v>
      </c>
      <c r="E16" s="8"/>
      <c r="F16" s="8"/>
      <c r="G16" s="9">
        <f t="shared" si="0"/>
        <v>227.21</v>
      </c>
      <c r="H16" s="3" t="s">
        <v>30</v>
      </c>
    </row>
    <row r="17" spans="1:8" ht="17" x14ac:dyDescent="0.2">
      <c r="A17" s="5" t="s">
        <v>8</v>
      </c>
      <c r="B17" s="9">
        <f>3358.79</f>
        <v>3358.79</v>
      </c>
      <c r="C17" s="9">
        <f>3246.23</f>
        <v>3246.23</v>
      </c>
      <c r="D17" s="9">
        <f>3190.97</f>
        <v>3190.97</v>
      </c>
      <c r="E17" s="9">
        <f>3242.3</f>
        <v>3242.3</v>
      </c>
      <c r="F17" s="8">
        <f>6426.77</f>
        <v>6426.77</v>
      </c>
      <c r="G17" s="9">
        <f t="shared" si="0"/>
        <v>19465.060000000001</v>
      </c>
      <c r="H17" s="3" t="s">
        <v>29</v>
      </c>
    </row>
    <row r="18" spans="1:8" ht="17" x14ac:dyDescent="0.2">
      <c r="A18" s="5" t="s">
        <v>16</v>
      </c>
      <c r="B18" s="9">
        <f>49.51</f>
        <v>49.51</v>
      </c>
      <c r="C18" s="9">
        <f>50.62</f>
        <v>50.62</v>
      </c>
      <c r="D18" s="8"/>
      <c r="E18" s="9">
        <f>51.76</f>
        <v>51.76</v>
      </c>
      <c r="F18" s="8"/>
      <c r="G18" s="9">
        <f t="shared" si="0"/>
        <v>151.88999999999999</v>
      </c>
      <c r="H18" s="3" t="s">
        <v>29</v>
      </c>
    </row>
    <row r="19" spans="1:8" ht="17" x14ac:dyDescent="0.2">
      <c r="A19" s="5" t="s">
        <v>10</v>
      </c>
      <c r="B19" s="8"/>
      <c r="C19" s="8"/>
      <c r="D19" s="8"/>
      <c r="E19" s="8"/>
      <c r="F19" s="8">
        <f>700</f>
        <v>700</v>
      </c>
      <c r="G19" s="9">
        <f t="shared" si="0"/>
        <v>700</v>
      </c>
      <c r="H19" s="3" t="s">
        <v>45</v>
      </c>
    </row>
    <row r="20" spans="1:8" ht="17" x14ac:dyDescent="0.2">
      <c r="A20" s="5" t="s">
        <v>31</v>
      </c>
      <c r="B20" s="9">
        <f>60</f>
        <v>60</v>
      </c>
      <c r="C20" s="9">
        <f>40</f>
        <v>40</v>
      </c>
      <c r="D20" s="9">
        <f>40</f>
        <v>40</v>
      </c>
      <c r="E20" s="9">
        <f>40</f>
        <v>40</v>
      </c>
      <c r="F20" s="8">
        <f>185</f>
        <v>185</v>
      </c>
      <c r="G20" s="9">
        <f t="shared" si="0"/>
        <v>365</v>
      </c>
      <c r="H20" s="3" t="s">
        <v>45</v>
      </c>
    </row>
    <row r="21" spans="1:8" ht="17" x14ac:dyDescent="0.2">
      <c r="A21" s="5" t="s">
        <v>32</v>
      </c>
      <c r="B21" s="9">
        <f>40</f>
        <v>40</v>
      </c>
      <c r="C21" s="9">
        <f>40</f>
        <v>40</v>
      </c>
      <c r="D21" s="9">
        <f>40</f>
        <v>40</v>
      </c>
      <c r="E21" s="9">
        <f>40</f>
        <v>40</v>
      </c>
      <c r="F21" s="8">
        <f>10</f>
        <v>10</v>
      </c>
      <c r="G21" s="9">
        <f t="shared" si="0"/>
        <v>170</v>
      </c>
      <c r="H21" s="3" t="s">
        <v>45</v>
      </c>
    </row>
    <row r="22" spans="1:8" ht="17" x14ac:dyDescent="0.2">
      <c r="A22" s="5" t="s">
        <v>33</v>
      </c>
      <c r="B22" s="8"/>
      <c r="C22" s="8"/>
      <c r="D22" s="8"/>
      <c r="E22" s="8"/>
      <c r="F22" s="8">
        <f>76.34</f>
        <v>76.34</v>
      </c>
      <c r="G22" s="9">
        <f t="shared" si="0"/>
        <v>76.34</v>
      </c>
      <c r="H22" s="3" t="s">
        <v>45</v>
      </c>
    </row>
    <row r="23" spans="1:8" ht="17" x14ac:dyDescent="0.2">
      <c r="A23" s="5" t="s">
        <v>34</v>
      </c>
      <c r="B23" s="9">
        <f>121.27</f>
        <v>121.27</v>
      </c>
      <c r="C23" s="9">
        <f>40</f>
        <v>40</v>
      </c>
      <c r="D23" s="9">
        <f>20</f>
        <v>20</v>
      </c>
      <c r="E23" s="8"/>
      <c r="F23" s="8"/>
      <c r="G23" s="9">
        <f t="shared" si="0"/>
        <v>181.26999999999998</v>
      </c>
      <c r="H23" s="3" t="s">
        <v>45</v>
      </c>
    </row>
    <row r="24" spans="1:8" ht="17" x14ac:dyDescent="0.2">
      <c r="A24" s="5" t="s">
        <v>35</v>
      </c>
      <c r="B24" s="9">
        <f>120.24</f>
        <v>120.24</v>
      </c>
      <c r="C24" s="9">
        <f>131.88</f>
        <v>131.88</v>
      </c>
      <c r="D24" s="9">
        <f>143.87</f>
        <v>143.87</v>
      </c>
      <c r="E24" s="9">
        <f>152.01</f>
        <v>152.01</v>
      </c>
      <c r="F24" s="8">
        <f>169.29</f>
        <v>169.29</v>
      </c>
      <c r="G24" s="9">
        <f t="shared" si="0"/>
        <v>717.29</v>
      </c>
      <c r="H24" s="3" t="s">
        <v>45</v>
      </c>
    </row>
    <row r="25" spans="1:8" ht="17" x14ac:dyDescent="0.2">
      <c r="A25" s="5" t="s">
        <v>36</v>
      </c>
      <c r="B25" s="8"/>
      <c r="C25" s="8"/>
      <c r="D25" s="8"/>
      <c r="E25" s="8"/>
      <c r="F25" s="8">
        <f>0</f>
        <v>0</v>
      </c>
      <c r="G25" s="9">
        <f t="shared" si="0"/>
        <v>0</v>
      </c>
      <c r="H25" s="3" t="s">
        <v>45</v>
      </c>
    </row>
    <row r="26" spans="1:8" ht="17" x14ac:dyDescent="0.2">
      <c r="A26" s="5" t="s">
        <v>25</v>
      </c>
      <c r="B26" s="8"/>
      <c r="C26" s="8"/>
      <c r="D26" s="8"/>
      <c r="E26" s="8"/>
      <c r="F26" s="8">
        <f>2486.14</f>
        <v>2486.14</v>
      </c>
      <c r="G26" s="9">
        <f t="shared" si="0"/>
        <v>2486.14</v>
      </c>
      <c r="H26" s="3" t="s">
        <v>45</v>
      </c>
    </row>
    <row r="27" spans="1:8" ht="17" x14ac:dyDescent="0.2">
      <c r="A27" s="5" t="s">
        <v>37</v>
      </c>
      <c r="B27" s="9">
        <f>94.62</f>
        <v>94.62</v>
      </c>
      <c r="C27" s="9">
        <f>105.24</f>
        <v>105.24</v>
      </c>
      <c r="D27" s="9">
        <f>139.91</f>
        <v>139.91</v>
      </c>
      <c r="E27" s="9">
        <f>135.15</f>
        <v>135.15</v>
      </c>
      <c r="F27" s="8">
        <f>583.32</f>
        <v>583.32000000000005</v>
      </c>
      <c r="G27" s="9">
        <f t="shared" si="0"/>
        <v>1058.24</v>
      </c>
      <c r="H27" s="3" t="s">
        <v>45</v>
      </c>
    </row>
    <row r="28" spans="1:8" ht="17" x14ac:dyDescent="0.2">
      <c r="A28" s="5" t="s">
        <v>38</v>
      </c>
      <c r="B28" s="9">
        <f>277.73</f>
        <v>277.73</v>
      </c>
      <c r="C28" s="9">
        <f>106.2</f>
        <v>106.2</v>
      </c>
      <c r="D28" s="9">
        <f>20</f>
        <v>20</v>
      </c>
      <c r="E28" s="8"/>
      <c r="F28" s="8"/>
      <c r="G28" s="9">
        <f t="shared" si="0"/>
        <v>403.93</v>
      </c>
      <c r="H28" s="3" t="s">
        <v>45</v>
      </c>
    </row>
    <row r="29" spans="1:8" ht="17" x14ac:dyDescent="0.2">
      <c r="A29" s="5" t="s">
        <v>39</v>
      </c>
      <c r="B29" s="9">
        <f>139.93</f>
        <v>139.93</v>
      </c>
      <c r="C29" s="9">
        <f>40</f>
        <v>40</v>
      </c>
      <c r="D29" s="9">
        <f>58.55</f>
        <v>58.55</v>
      </c>
      <c r="E29" s="9">
        <f>40</f>
        <v>40</v>
      </c>
      <c r="F29" s="8">
        <f>20</f>
        <v>20</v>
      </c>
      <c r="G29" s="9">
        <f t="shared" si="0"/>
        <v>298.48</v>
      </c>
      <c r="H29" s="3" t="s">
        <v>45</v>
      </c>
    </row>
    <row r="30" spans="1:8" ht="17" x14ac:dyDescent="0.2">
      <c r="A30" s="5" t="s">
        <v>40</v>
      </c>
      <c r="B30" s="9">
        <f>120.18</f>
        <v>120.18</v>
      </c>
      <c r="C30" s="9">
        <f>142.5</f>
        <v>142.5</v>
      </c>
      <c r="D30" s="9">
        <f>157.43</f>
        <v>157.43</v>
      </c>
      <c r="E30" s="9">
        <f>164.13</f>
        <v>164.13</v>
      </c>
      <c r="F30" s="8">
        <f>1989.41</f>
        <v>1989.41</v>
      </c>
      <c r="G30" s="9">
        <f t="shared" si="0"/>
        <v>2573.65</v>
      </c>
      <c r="H30" s="3" t="s">
        <v>45</v>
      </c>
    </row>
    <row r="31" spans="1:8" ht="17" x14ac:dyDescent="0.2">
      <c r="A31" s="5" t="s">
        <v>41</v>
      </c>
      <c r="B31" s="8"/>
      <c r="C31" s="8"/>
      <c r="D31" s="8"/>
      <c r="E31" s="9">
        <f>20</f>
        <v>20</v>
      </c>
      <c r="F31" s="8"/>
      <c r="G31" s="9">
        <f t="shared" si="0"/>
        <v>20</v>
      </c>
      <c r="H31" s="3" t="s">
        <v>45</v>
      </c>
    </row>
    <row r="32" spans="1:8" ht="17" x14ac:dyDescent="0.2">
      <c r="A32" s="5" t="s">
        <v>42</v>
      </c>
      <c r="B32" s="9">
        <f>89.1</f>
        <v>89.1</v>
      </c>
      <c r="C32" s="9">
        <f>111.3</f>
        <v>111.3</v>
      </c>
      <c r="D32" s="9">
        <f>141.77</f>
        <v>141.77000000000001</v>
      </c>
      <c r="E32" s="9">
        <f>146.97</f>
        <v>146.97</v>
      </c>
      <c r="F32" s="8">
        <f>638.13</f>
        <v>638.13</v>
      </c>
      <c r="G32" s="9">
        <f t="shared" si="0"/>
        <v>1127.27</v>
      </c>
      <c r="H32" s="3" t="s">
        <v>45</v>
      </c>
    </row>
    <row r="33" spans="1:8" ht="17" x14ac:dyDescent="0.2">
      <c r="A33" s="5" t="s">
        <v>11</v>
      </c>
      <c r="B33" s="8"/>
      <c r="C33" s="8"/>
      <c r="D33" s="8"/>
      <c r="E33" s="8"/>
      <c r="F33" s="8">
        <f>7000</f>
        <v>7000</v>
      </c>
      <c r="G33" s="9">
        <f t="shared" si="0"/>
        <v>7000</v>
      </c>
      <c r="H33" s="3" t="s">
        <v>46</v>
      </c>
    </row>
    <row r="34" spans="1:8" ht="17" x14ac:dyDescent="0.2">
      <c r="A34" s="5" t="s">
        <v>17</v>
      </c>
      <c r="B34" s="10">
        <f t="shared" ref="B34:G34" si="1">SUM(B6:B33)</f>
        <v>5859.630000000001</v>
      </c>
      <c r="C34" s="10">
        <f t="shared" si="1"/>
        <v>5406.93</v>
      </c>
      <c r="D34" s="10">
        <f t="shared" si="1"/>
        <v>5823.9800000000005</v>
      </c>
      <c r="E34" s="10">
        <f t="shared" si="1"/>
        <v>5902.9800000000005</v>
      </c>
      <c r="F34" s="10">
        <f t="shared" si="1"/>
        <v>2240034.6700000004</v>
      </c>
      <c r="G34" s="10">
        <f t="shared" si="1"/>
        <v>2263028.1900000009</v>
      </c>
    </row>
    <row r="35" spans="1:8" x14ac:dyDescent="0.2">
      <c r="A35" s="5"/>
      <c r="B35" s="11"/>
      <c r="C35" s="11"/>
      <c r="D35" s="11"/>
      <c r="E35" s="11"/>
      <c r="F35" s="11"/>
      <c r="G35" s="11"/>
    </row>
    <row r="38" spans="1:8" x14ac:dyDescent="0.2">
      <c r="A38" s="13"/>
      <c r="B38" s="14"/>
      <c r="C38" s="14"/>
      <c r="D38" s="14"/>
      <c r="E38" s="14"/>
      <c r="F38" s="14"/>
      <c r="G38" s="14"/>
    </row>
  </sheetData>
  <mergeCells count="1">
    <mergeCell ref="A38:G38"/>
  </mergeCells>
  <phoneticPr fontId="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A R Aging 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Janice Moturi</cp:lastModifiedBy>
  <dcterms:created xsi:type="dcterms:W3CDTF">2024-11-17T14:51:32Z</dcterms:created>
  <dcterms:modified xsi:type="dcterms:W3CDTF">2024-11-20T17:41:27Z</dcterms:modified>
</cp:coreProperties>
</file>